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2- InvestorDeets\"/>
    </mc:Choice>
  </mc:AlternateContent>
  <xr:revisionPtr revIDLastSave="0" documentId="8_{6154AF85-0928-40AB-B37B-FFAC617A71C9}" xr6:coauthVersionLast="36" xr6:coauthVersionMax="36" xr10:uidLastSave="{00000000-0000-0000-0000-000000000000}"/>
  <bookViews>
    <workbookView xWindow="0" yWindow="0" windowWidth="20490" windowHeight="7545" xr2:uid="{974BE701-369A-4E2F-9A7C-5013DBCA3F51}"/>
  </bookViews>
  <sheets>
    <sheet name="o2-PERFORMANCE (2)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D45" i="3" s="1"/>
  <c r="M44" i="3"/>
  <c r="N44" i="3" s="1"/>
  <c r="D43" i="3"/>
  <c r="E43" i="3" s="1"/>
  <c r="C43" i="3"/>
  <c r="N41" i="3"/>
  <c r="N45" i="3" s="1"/>
  <c r="M41" i="3"/>
  <c r="M45" i="3" s="1"/>
  <c r="C41" i="3"/>
  <c r="D41" i="3" s="1"/>
  <c r="D39" i="3"/>
  <c r="E39" i="3" s="1"/>
  <c r="D36" i="3"/>
  <c r="E36" i="3" s="1"/>
  <c r="C36" i="3"/>
  <c r="N35" i="3"/>
  <c r="M35" i="3"/>
  <c r="O35" i="3" s="1"/>
  <c r="P35" i="3" s="1"/>
  <c r="C34" i="3"/>
  <c r="D34" i="3" s="1"/>
  <c r="M32" i="3"/>
  <c r="N32" i="3" s="1"/>
  <c r="N36" i="3" s="1"/>
  <c r="D32" i="3"/>
  <c r="E32" i="3" s="1"/>
  <c r="C32" i="3"/>
  <c r="E30" i="3"/>
  <c r="D30" i="3"/>
  <c r="F30" i="3" s="1"/>
  <c r="G30" i="3" s="1"/>
  <c r="C27" i="3"/>
  <c r="D27" i="3" s="1"/>
  <c r="M26" i="3"/>
  <c r="N26" i="3" s="1"/>
  <c r="D25" i="3"/>
  <c r="E25" i="3" s="1"/>
  <c r="C25" i="3"/>
  <c r="C23" i="3"/>
  <c r="D23" i="3" s="1"/>
  <c r="M22" i="3"/>
  <c r="M27" i="3" s="1"/>
  <c r="D21" i="3"/>
  <c r="E21" i="3" s="1"/>
  <c r="F13" i="3"/>
  <c r="F23" i="3" l="1"/>
  <c r="G23" i="3" s="1"/>
  <c r="E23" i="3"/>
  <c r="F27" i="3"/>
  <c r="G27" i="3" s="1"/>
  <c r="E27" i="3"/>
  <c r="F34" i="3"/>
  <c r="G34" i="3" s="1"/>
  <c r="E34" i="3"/>
  <c r="F41" i="3"/>
  <c r="G41" i="3" s="1"/>
  <c r="E41" i="3"/>
  <c r="F45" i="3"/>
  <c r="G45" i="3" s="1"/>
  <c r="E45" i="3"/>
  <c r="F21" i="3"/>
  <c r="G21" i="3" s="1"/>
  <c r="F25" i="3"/>
  <c r="G25" i="3" s="1"/>
  <c r="O26" i="3"/>
  <c r="P26" i="3" s="1"/>
  <c r="F32" i="3"/>
  <c r="G32" i="3" s="1"/>
  <c r="O32" i="3"/>
  <c r="F36" i="3"/>
  <c r="G36" i="3" s="1"/>
  <c r="M36" i="3"/>
  <c r="F39" i="3"/>
  <c r="G39" i="3" s="1"/>
  <c r="F43" i="3"/>
  <c r="G43" i="3" s="1"/>
  <c r="O44" i="3"/>
  <c r="P44" i="3" s="1"/>
  <c r="N22" i="3"/>
  <c r="N27" i="3" s="1"/>
  <c r="O41" i="3"/>
  <c r="O45" i="3" l="1"/>
  <c r="P41" i="3"/>
  <c r="P45" i="3" s="1"/>
  <c r="P32" i="3"/>
  <c r="P36" i="3" s="1"/>
  <c r="O36" i="3"/>
  <c r="O22" i="3"/>
  <c r="O27" i="3" l="1"/>
  <c r="P22" i="3"/>
  <c r="P27" i="3" s="1"/>
</calcChain>
</file>

<file path=xl/sharedStrings.xml><?xml version="1.0" encoding="utf-8"?>
<sst xmlns="http://schemas.openxmlformats.org/spreadsheetml/2006/main" count="110" uniqueCount="59">
  <si>
    <t>Project Costs</t>
  </si>
  <si>
    <t>TOTAL:</t>
  </si>
  <si>
    <t>Sources</t>
  </si>
  <si>
    <t>Land:</t>
  </si>
  <si>
    <t>Direct Construction Costs:</t>
  </si>
  <si>
    <t>Indirect Construction Costs:</t>
  </si>
  <si>
    <t>Furnishing:</t>
  </si>
  <si>
    <t>Marketing:</t>
  </si>
  <si>
    <t>Reserves:</t>
  </si>
  <si>
    <t>Developer Fee:</t>
  </si>
  <si>
    <t>Fees/ Misc/ Other:</t>
  </si>
  <si>
    <t>Bank Loan:</t>
  </si>
  <si>
    <t>Developer Equity:</t>
  </si>
  <si>
    <t>ContainAccra Investors:</t>
  </si>
  <si>
    <t>TOTAL INVESTMENT:</t>
  </si>
  <si>
    <t>$50/night</t>
  </si>
  <si>
    <t>50% occupancy</t>
  </si>
  <si>
    <t>65% occupancy</t>
  </si>
  <si>
    <t>80% occupancy</t>
  </si>
  <si>
    <t>ROI</t>
  </si>
  <si>
    <t>$75/night</t>
  </si>
  <si>
    <t>$75night</t>
  </si>
  <si>
    <t xml:space="preserve">$75/night </t>
  </si>
  <si>
    <t>LONG TERM</t>
  </si>
  <si>
    <t>15 nights</t>
  </si>
  <si>
    <t>19.5 nights</t>
  </si>
  <si>
    <t>24 nights</t>
  </si>
  <si>
    <t>Net</t>
  </si>
  <si>
    <t>MONTHLY</t>
  </si>
  <si>
    <t>$75/NIGHT SHORT TERM</t>
  </si>
  <si>
    <t>$50/NIGHT SHORT TERM</t>
  </si>
  <si>
    <t>GROSS</t>
  </si>
  <si>
    <t>$100/night</t>
  </si>
  <si>
    <t xml:space="preserve">$100/night </t>
  </si>
  <si>
    <t>$100/NIGHT SHORT TERM</t>
  </si>
  <si>
    <t>JANUARY --&gt; DECEMBER</t>
  </si>
  <si>
    <t>6 Months</t>
  </si>
  <si>
    <t>$50/NIGHT - HYBRID</t>
  </si>
  <si>
    <t>TOTAL</t>
  </si>
  <si>
    <t>$75/NIGHT - HYBRID</t>
  </si>
  <si>
    <t>$100/NIGHT - HYBRID</t>
  </si>
  <si>
    <t xml:space="preserve"> (-35% OE-PM/Utilities/Maint.)</t>
  </si>
  <si>
    <t>\</t>
  </si>
  <si>
    <t>(118 Days)</t>
  </si>
  <si>
    <t xml:space="preserve"> (-35% OE-PM/Utilities/Main)</t>
  </si>
  <si>
    <t xml:space="preserve">    </t>
  </si>
  <si>
    <t>GROSS/Yr</t>
  </si>
  <si>
    <t xml:space="preserve"> AirBNB (50%)</t>
  </si>
  <si>
    <t>6 Months (50%)</t>
  </si>
  <si>
    <t xml:space="preserve">LONG TERM </t>
  </si>
  <si>
    <t>AIRBNB (50%)</t>
  </si>
  <si>
    <t>$500(6mo)</t>
  </si>
  <si>
    <t xml:space="preserve"> (-30% OE-PM/Utilities/Maint.)</t>
  </si>
  <si>
    <t xml:space="preserve"> (-40% OE-PM/Utilities/Maint.)</t>
  </si>
  <si>
    <t>*Inclusive*</t>
  </si>
  <si>
    <t>n/a</t>
  </si>
  <si>
    <t>Investment:</t>
  </si>
  <si>
    <t xml:space="preserve">o2 - Two story Shippping Container Home - Performance Model </t>
  </si>
  <si>
    <t>LandContribution/ PhaseI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</si>
</sst>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0" fillId="2" borderId="2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8" fillId="2" borderId="1" xfId="0" applyFont="1" applyFill="1" applyBorder="1"/>
    <xf numFmtId="0" fontId="8" fillId="2" borderId="0" xfId="0" applyFont="1" applyFill="1"/>
    <xf numFmtId="0" fontId="0" fillId="3" borderId="0" xfId="0" applyFill="1"/>
    <xf numFmtId="0" fontId="10" fillId="0" borderId="0" xfId="0" applyFont="1"/>
    <xf numFmtId="0" fontId="0" fillId="9" borderId="0" xfId="0" applyFill="1"/>
    <xf numFmtId="0" fontId="2" fillId="9" borderId="9" xfId="0" applyFont="1" applyFill="1" applyBorder="1"/>
    <xf numFmtId="0" fontId="0" fillId="9" borderId="9" xfId="0" applyFill="1" applyBorder="1"/>
    <xf numFmtId="0" fontId="8" fillId="0" borderId="9" xfId="0" applyFont="1" applyBorder="1"/>
    <xf numFmtId="0" fontId="4" fillId="8" borderId="9" xfId="0" applyFont="1" applyFill="1" applyBorder="1"/>
    <xf numFmtId="44" fontId="0" fillId="5" borderId="9" xfId="1" applyFont="1" applyFill="1" applyBorder="1"/>
    <xf numFmtId="6" fontId="0" fillId="5" borderId="9" xfId="0" applyNumberFormat="1" applyFill="1" applyBorder="1"/>
    <xf numFmtId="6" fontId="9" fillId="5" borderId="9" xfId="0" applyNumberFormat="1" applyFont="1" applyFill="1" applyBorder="1"/>
    <xf numFmtId="0" fontId="9" fillId="7" borderId="9" xfId="0" applyFont="1" applyFill="1" applyBorder="1"/>
    <xf numFmtId="0" fontId="0" fillId="5" borderId="9" xfId="0" applyFill="1" applyBorder="1"/>
    <xf numFmtId="0" fontId="4" fillId="3" borderId="9" xfId="0" applyFont="1" applyFill="1" applyBorder="1"/>
    <xf numFmtId="0" fontId="4" fillId="6" borderId="9" xfId="0" applyFont="1" applyFill="1" applyBorder="1"/>
    <xf numFmtId="0" fontId="4" fillId="7" borderId="9" xfId="0" applyFont="1" applyFill="1" applyBorder="1"/>
    <xf numFmtId="0" fontId="4" fillId="10" borderId="9" xfId="0" applyFont="1" applyFill="1" applyBorder="1"/>
    <xf numFmtId="0" fontId="7" fillId="2" borderId="0" xfId="0" applyFont="1" applyFill="1"/>
    <xf numFmtId="0" fontId="0" fillId="11" borderId="9" xfId="0" applyFill="1" applyBorder="1"/>
    <xf numFmtId="0" fontId="12" fillId="11" borderId="9" xfId="0" applyFont="1" applyFill="1" applyBorder="1"/>
    <xf numFmtId="0" fontId="13" fillId="11" borderId="9" xfId="0" applyFont="1" applyFill="1" applyBorder="1"/>
    <xf numFmtId="9" fontId="4" fillId="8" borderId="9" xfId="0" applyNumberFormat="1" applyFont="1" applyFill="1" applyBorder="1"/>
    <xf numFmtId="0" fontId="9" fillId="10" borderId="9" xfId="0" applyFont="1" applyFill="1" applyBorder="1"/>
    <xf numFmtId="9" fontId="4" fillId="3" borderId="9" xfId="0" applyNumberFormat="1" applyFont="1" applyFill="1" applyBorder="1"/>
    <xf numFmtId="6" fontId="2" fillId="9" borderId="9" xfId="0" applyNumberFormat="1" applyFont="1" applyFill="1" applyBorder="1"/>
    <xf numFmtId="0" fontId="4" fillId="5" borderId="9" xfId="0" applyFont="1" applyFill="1" applyBorder="1"/>
    <xf numFmtId="0" fontId="4" fillId="12" borderId="9" xfId="0" applyFont="1" applyFill="1" applyBorder="1"/>
    <xf numFmtId="6" fontId="0" fillId="12" borderId="9" xfId="0" applyNumberFormat="1" applyFill="1" applyBorder="1"/>
    <xf numFmtId="6" fontId="9" fillId="12" borderId="9" xfId="0" applyNumberFormat="1" applyFont="1" applyFill="1" applyBorder="1"/>
    <xf numFmtId="164" fontId="0" fillId="5" borderId="9" xfId="1" applyNumberFormat="1" applyFont="1" applyFill="1" applyBorder="1"/>
    <xf numFmtId="6" fontId="4" fillId="5" borderId="9" xfId="0" applyNumberFormat="1" applyFont="1" applyFill="1" applyBorder="1"/>
    <xf numFmtId="0" fontId="8" fillId="5" borderId="9" xfId="0" applyFont="1" applyFill="1" applyBorder="1"/>
    <xf numFmtId="0" fontId="8" fillId="0" borderId="0" xfId="0" applyFont="1" applyFill="1"/>
    <xf numFmtId="0" fontId="8" fillId="0" borderId="9" xfId="0" applyFont="1" applyFill="1" applyBorder="1"/>
    <xf numFmtId="0" fontId="5" fillId="11" borderId="9" xfId="0" applyFont="1" applyFill="1" applyBorder="1"/>
    <xf numFmtId="0" fontId="4" fillId="2" borderId="3" xfId="0" applyFont="1" applyFill="1" applyBorder="1"/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Fill="1"/>
    <xf numFmtId="9" fontId="4" fillId="4" borderId="9" xfId="2" applyFont="1" applyFill="1" applyBorder="1"/>
    <xf numFmtId="10" fontId="4" fillId="4" borderId="9" xfId="2" applyNumberFormat="1" applyFont="1" applyFill="1" applyBorder="1"/>
    <xf numFmtId="0" fontId="4" fillId="2" borderId="2" xfId="0" applyFont="1" applyFill="1" applyBorder="1"/>
    <xf numFmtId="0" fontId="4" fillId="0" borderId="0" xfId="0" applyFont="1" applyBorder="1"/>
    <xf numFmtId="0" fontId="4" fillId="5" borderId="0" xfId="0" applyFont="1" applyFill="1"/>
    <xf numFmtId="0" fontId="0" fillId="0" borderId="0" xfId="0" applyFont="1"/>
    <xf numFmtId="0" fontId="0" fillId="2" borderId="2" xfId="0" applyFont="1" applyFill="1" applyBorder="1"/>
    <xf numFmtId="0" fontId="0" fillId="0" borderId="0" xfId="0" applyFont="1" applyBorder="1"/>
    <xf numFmtId="0" fontId="11" fillId="2" borderId="0" xfId="0" applyFont="1" applyFill="1"/>
    <xf numFmtId="0" fontId="0" fillId="5" borderId="9" xfId="0" applyFont="1" applyFill="1" applyBorder="1"/>
    <xf numFmtId="6" fontId="0" fillId="5" borderId="9" xfId="0" applyNumberFormat="1" applyFont="1" applyFill="1" applyBorder="1"/>
    <xf numFmtId="0" fontId="0" fillId="5" borderId="0" xfId="0" applyFont="1" applyFill="1"/>
    <xf numFmtId="0" fontId="0" fillId="9" borderId="9" xfId="0" applyFont="1" applyFill="1" applyBorder="1"/>
    <xf numFmtId="44" fontId="1" fillId="5" borderId="9" xfId="1" applyFont="1" applyFill="1" applyBorder="1"/>
    <xf numFmtId="44" fontId="1" fillId="12" borderId="9" xfId="1" applyFont="1" applyFill="1" applyBorder="1"/>
    <xf numFmtId="0" fontId="4" fillId="4" borderId="9" xfId="0" applyFont="1" applyFill="1" applyBorder="1"/>
    <xf numFmtId="10" fontId="4" fillId="12" borderId="9" xfId="2" applyNumberFormat="1" applyFont="1" applyFill="1" applyBorder="1"/>
    <xf numFmtId="164" fontId="13" fillId="11" borderId="9" xfId="1" applyNumberFormat="1" applyFont="1" applyFill="1" applyBorder="1"/>
    <xf numFmtId="164" fontId="0" fillId="0" borderId="0" xfId="1" applyNumberFormat="1" applyFont="1"/>
    <xf numFmtId="164" fontId="0" fillId="2" borderId="2" xfId="1" applyNumberFormat="1" applyFont="1" applyFill="1" applyBorder="1"/>
    <xf numFmtId="164" fontId="0" fillId="0" borderId="0" xfId="1" applyNumberFormat="1" applyFont="1" applyBorder="1"/>
    <xf numFmtId="164" fontId="11" fillId="2" borderId="0" xfId="1" applyNumberFormat="1" applyFont="1" applyFill="1"/>
    <xf numFmtId="164" fontId="0" fillId="0" borderId="0" xfId="1" applyNumberFormat="1" applyFont="1" applyFill="1"/>
    <xf numFmtId="164" fontId="15" fillId="0" borderId="9" xfId="1" applyNumberFormat="1" applyFont="1" applyFill="1" applyBorder="1"/>
    <xf numFmtId="164" fontId="3" fillId="0" borderId="9" xfId="1" applyNumberFormat="1" applyFont="1" applyBorder="1"/>
    <xf numFmtId="164" fontId="3" fillId="0" borderId="9" xfId="1" applyNumberFormat="1" applyFont="1" applyFill="1" applyBorder="1"/>
    <xf numFmtId="164" fontId="15" fillId="0" borderId="9" xfId="1" applyNumberFormat="1" applyFont="1" applyBorder="1"/>
    <xf numFmtId="164" fontId="1" fillId="0" borderId="0" xfId="1" applyNumberFormat="1" applyFont="1"/>
    <xf numFmtId="164" fontId="1" fillId="2" borderId="3" xfId="1" applyNumberFormat="1" applyFont="1" applyFill="1" applyBorder="1"/>
    <xf numFmtId="164" fontId="1" fillId="0" borderId="5" xfId="1" applyNumberFormat="1" applyFont="1" applyBorder="1"/>
    <xf numFmtId="164" fontId="1" fillId="0" borderId="8" xfId="1" applyNumberFormat="1" applyFont="1" applyBorder="1"/>
    <xf numFmtId="164" fontId="3" fillId="12" borderId="9" xfId="1" applyNumberFormat="1" applyFont="1" applyFill="1" applyBorder="1"/>
    <xf numFmtId="10" fontId="4" fillId="0" borderId="0" xfId="2" applyNumberFormat="1" applyFont="1" applyFill="1" applyBorder="1"/>
    <xf numFmtId="6" fontId="0" fillId="0" borderId="0" xfId="0" applyNumberFormat="1" applyFill="1" applyBorder="1"/>
    <xf numFmtId="164" fontId="3" fillId="0" borderId="0" xfId="1" applyNumberFormat="1" applyFont="1" applyFill="1" applyBorder="1"/>
    <xf numFmtId="6" fontId="9" fillId="0" borderId="0" xfId="0" applyNumberFormat="1" applyFont="1" applyFill="1" applyBorder="1"/>
    <xf numFmtId="0" fontId="4" fillId="0" borderId="0" xfId="0" applyFont="1" applyFill="1" applyBorder="1"/>
    <xf numFmtId="164" fontId="0" fillId="0" borderId="0" xfId="1" applyNumberFormat="1" applyFont="1" applyFill="1" applyBorder="1"/>
    <xf numFmtId="164" fontId="9" fillId="5" borderId="9" xfId="1" applyNumberFormat="1" applyFont="1" applyFill="1" applyBorder="1"/>
    <xf numFmtId="0" fontId="4" fillId="0" borderId="4" xfId="0" applyFont="1" applyBorder="1"/>
    <xf numFmtId="0" fontId="4" fillId="0" borderId="6" xfId="0" applyFont="1" applyBorder="1"/>
    <xf numFmtId="0" fontId="9" fillId="5" borderId="9" xfId="0" applyFont="1" applyFill="1" applyBorder="1"/>
    <xf numFmtId="44" fontId="1" fillId="0" borderId="0" xfId="1" applyFont="1" applyFill="1" applyBorder="1"/>
    <xf numFmtId="0" fontId="6" fillId="3" borderId="0" xfId="0" applyFont="1" applyFill="1"/>
    <xf numFmtId="0" fontId="16" fillId="3" borderId="0" xfId="0" applyFont="1" applyFill="1"/>
    <xf numFmtId="6" fontId="6" fillId="3" borderId="0" xfId="0" applyNumberFormat="1" applyFont="1" applyFill="1"/>
    <xf numFmtId="9" fontId="4" fillId="7" borderId="9" xfId="2" applyFont="1" applyFill="1" applyBorder="1"/>
    <xf numFmtId="10" fontId="4" fillId="7" borderId="9" xfId="2" applyNumberFormat="1" applyFont="1" applyFill="1" applyBorder="1"/>
    <xf numFmtId="9" fontId="4" fillId="3" borderId="9" xfId="2" applyFont="1" applyFill="1" applyBorder="1"/>
    <xf numFmtId="10" fontId="4" fillId="3" borderId="9" xfId="2" applyNumberFormat="1" applyFont="1" applyFill="1" applyBorder="1"/>
    <xf numFmtId="9" fontId="4" fillId="12" borderId="9" xfId="2" applyFont="1" applyFill="1" applyBorder="1"/>
    <xf numFmtId="164" fontId="0" fillId="0" borderId="0" xfId="0" applyNumberFormat="1" applyBorder="1"/>
    <xf numFmtId="164" fontId="4" fillId="0" borderId="7" xfId="0" applyNumberFormat="1" applyFont="1" applyBorder="1"/>
    <xf numFmtId="164" fontId="0" fillId="0" borderId="0" xfId="0" applyNumberFormat="1" applyFill="1" applyBorder="1"/>
    <xf numFmtId="164" fontId="4" fillId="0" borderId="0" xfId="0" applyNumberFormat="1" applyFont="1" applyBorder="1"/>
    <xf numFmtId="164" fontId="14" fillId="13" borderId="0" xfId="0" applyNumberFormat="1" applyFont="1" applyFill="1" applyBorder="1"/>
    <xf numFmtId="6" fontId="0" fillId="5" borderId="9" xfId="0" applyNumberFormat="1" applyFill="1" applyBorder="1" applyAlignment="1"/>
    <xf numFmtId="164" fontId="4" fillId="0" borderId="7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0DCB-3BC7-4C14-9A88-E1D6CDFEEB6B}">
  <dimension ref="A2:P47"/>
  <sheetViews>
    <sheetView tabSelected="1" zoomScale="78" zoomScaleNormal="78" workbookViewId="0">
      <selection activeCell="D22" sqref="D22:D25"/>
    </sheetView>
  </sheetViews>
  <sheetFormatPr defaultRowHeight="15" x14ac:dyDescent="0.25"/>
  <cols>
    <col min="1" max="1" width="14.28515625" customWidth="1"/>
    <col min="2" max="2" width="11" style="1" customWidth="1"/>
    <col min="3" max="3" width="13.28515625" customWidth="1"/>
    <col min="4" max="4" width="11.140625" customWidth="1"/>
    <col min="5" max="5" width="30.5703125" style="66" customWidth="1"/>
    <col min="6" max="6" width="14" style="1" customWidth="1"/>
    <col min="7" max="7" width="9.140625" style="1"/>
    <col min="8" max="8" width="5.7109375" bestFit="1" customWidth="1"/>
    <col min="9" max="9" width="10.140625" customWidth="1"/>
    <col min="10" max="10" width="14.7109375" customWidth="1"/>
    <col min="11" max="11" width="12.140625" style="1" customWidth="1"/>
    <col min="12" max="12" width="12.42578125" style="53" customWidth="1"/>
    <col min="13" max="13" width="11.140625" customWidth="1"/>
    <col min="14" max="14" width="30.42578125" style="75" customWidth="1"/>
    <col min="15" max="15" width="12" style="1" customWidth="1"/>
    <col min="16" max="16" width="9.140625" style="1"/>
  </cols>
  <sheetData>
    <row r="2" spans="1:14" ht="21" x14ac:dyDescent="0.35">
      <c r="A2" s="28" t="s">
        <v>57</v>
      </c>
      <c r="B2" s="43"/>
      <c r="C2" s="29"/>
      <c r="D2" s="29"/>
      <c r="E2" s="65"/>
      <c r="F2" s="43"/>
      <c r="G2" s="43"/>
      <c r="H2" s="27"/>
    </row>
    <row r="3" spans="1:14" ht="15.75" thickBot="1" x14ac:dyDescent="0.3"/>
    <row r="4" spans="1:14" x14ac:dyDescent="0.25">
      <c r="B4" s="8" t="s">
        <v>0</v>
      </c>
      <c r="C4" s="2"/>
      <c r="D4" s="2"/>
      <c r="E4" s="67"/>
      <c r="F4" s="50"/>
      <c r="G4" s="44"/>
      <c r="I4" s="8" t="s">
        <v>2</v>
      </c>
      <c r="J4" s="2"/>
      <c r="K4" s="50"/>
      <c r="L4" s="54"/>
      <c r="M4" s="2"/>
      <c r="N4" s="76"/>
    </row>
    <row r="5" spans="1:14" x14ac:dyDescent="0.25">
      <c r="B5" s="87" t="s">
        <v>3</v>
      </c>
      <c r="C5" s="4"/>
      <c r="D5" s="99">
        <v>5000</v>
      </c>
      <c r="E5" s="68"/>
      <c r="F5" s="51"/>
      <c r="G5" s="45"/>
      <c r="I5" s="3" t="s">
        <v>11</v>
      </c>
      <c r="J5" s="4"/>
      <c r="K5" s="51" t="s">
        <v>55</v>
      </c>
      <c r="L5" s="55"/>
      <c r="M5" s="4"/>
      <c r="N5" s="77"/>
    </row>
    <row r="6" spans="1:14" x14ac:dyDescent="0.25">
      <c r="B6" s="87" t="s">
        <v>4</v>
      </c>
      <c r="C6" s="4"/>
      <c r="D6" s="99">
        <v>40200</v>
      </c>
      <c r="E6" s="68"/>
      <c r="F6" s="51"/>
      <c r="G6" s="45"/>
      <c r="I6" s="3" t="s">
        <v>12</v>
      </c>
      <c r="J6" s="4"/>
      <c r="K6" s="102">
        <v>5000</v>
      </c>
      <c r="L6" s="55"/>
      <c r="M6" s="99">
        <v>51000</v>
      </c>
      <c r="N6" s="77"/>
    </row>
    <row r="7" spans="1:14" x14ac:dyDescent="0.25">
      <c r="B7" s="87" t="s">
        <v>5</v>
      </c>
      <c r="C7" s="4"/>
      <c r="D7" s="99">
        <v>400</v>
      </c>
      <c r="E7" s="68"/>
      <c r="F7" s="51"/>
      <c r="G7" s="45"/>
      <c r="I7" s="3" t="s">
        <v>58</v>
      </c>
      <c r="J7" s="4"/>
      <c r="K7" s="102">
        <v>5000</v>
      </c>
      <c r="L7" s="55"/>
      <c r="M7" s="99">
        <v>10000</v>
      </c>
      <c r="N7" s="77"/>
    </row>
    <row r="8" spans="1:14" x14ac:dyDescent="0.25">
      <c r="B8" s="87" t="s">
        <v>6</v>
      </c>
      <c r="C8" s="4"/>
      <c r="D8" s="99" t="s">
        <v>54</v>
      </c>
      <c r="E8" s="68"/>
      <c r="F8" s="51"/>
      <c r="G8" s="45"/>
      <c r="I8" s="3" t="s">
        <v>13</v>
      </c>
      <c r="J8" s="4"/>
      <c r="K8" s="103">
        <v>41000</v>
      </c>
      <c r="L8" s="55"/>
      <c r="M8" s="99">
        <v>41000</v>
      </c>
      <c r="N8" s="77"/>
    </row>
    <row r="9" spans="1:14" x14ac:dyDescent="0.25">
      <c r="B9" s="87" t="s">
        <v>7</v>
      </c>
      <c r="C9" s="4"/>
      <c r="D9" s="101">
        <v>1000</v>
      </c>
      <c r="E9" s="68"/>
      <c r="F9" s="51"/>
      <c r="G9" s="45"/>
      <c r="I9" s="3"/>
      <c r="J9" s="4"/>
      <c r="K9" s="51"/>
      <c r="L9" s="55"/>
      <c r="M9" s="99"/>
      <c r="N9" s="77"/>
    </row>
    <row r="10" spans="1:14" x14ac:dyDescent="0.25">
      <c r="B10" s="87" t="s">
        <v>8</v>
      </c>
      <c r="C10" s="4"/>
      <c r="D10" s="99">
        <v>1200</v>
      </c>
      <c r="E10" s="68"/>
      <c r="F10" s="51"/>
      <c r="G10" s="45"/>
      <c r="I10" s="3"/>
      <c r="J10" s="102"/>
      <c r="K10" s="51"/>
      <c r="L10" s="55"/>
      <c r="M10" s="99"/>
      <c r="N10" s="77"/>
    </row>
    <row r="11" spans="1:14" x14ac:dyDescent="0.25">
      <c r="B11" s="87" t="s">
        <v>9</v>
      </c>
      <c r="C11" s="4"/>
      <c r="D11" s="99">
        <v>3200</v>
      </c>
      <c r="E11" s="68"/>
      <c r="F11" s="51"/>
      <c r="G11" s="45"/>
      <c r="I11" s="3"/>
      <c r="J11" s="4"/>
      <c r="K11" s="51"/>
      <c r="L11" s="55"/>
      <c r="M11" s="99"/>
      <c r="N11" s="77"/>
    </row>
    <row r="12" spans="1:14" x14ac:dyDescent="0.25">
      <c r="B12" s="87" t="s">
        <v>10</v>
      </c>
      <c r="C12" s="4"/>
      <c r="D12" s="99"/>
      <c r="E12" s="68"/>
      <c r="F12" s="51"/>
      <c r="G12" s="45"/>
      <c r="I12" s="3"/>
      <c r="J12" s="4"/>
      <c r="K12" s="51"/>
      <c r="L12" s="55"/>
      <c r="M12" s="99"/>
      <c r="N12" s="77"/>
    </row>
    <row r="13" spans="1:14" ht="15.75" thickBot="1" x14ac:dyDescent="0.3">
      <c r="B13" s="88"/>
      <c r="C13" s="6"/>
      <c r="D13" s="6"/>
      <c r="E13" s="105" t="s">
        <v>1</v>
      </c>
      <c r="F13" s="100">
        <f>SUM(D5:D11)</f>
        <v>51000</v>
      </c>
      <c r="G13" s="46"/>
      <c r="I13" s="5"/>
      <c r="J13" s="6"/>
      <c r="K13" s="7"/>
      <c r="L13" s="7" t="s">
        <v>56</v>
      </c>
      <c r="M13" s="100">
        <v>41000</v>
      </c>
      <c r="N13" s="78"/>
    </row>
    <row r="15" spans="1:14" ht="15.75" x14ac:dyDescent="0.25">
      <c r="C15" s="11"/>
    </row>
    <row r="17" spans="1:16" ht="18.75" x14ac:dyDescent="0.3">
      <c r="G17" s="91" t="s">
        <v>14</v>
      </c>
      <c r="H17" s="92"/>
      <c r="I17" s="10"/>
      <c r="J17" s="93">
        <v>41000</v>
      </c>
    </row>
    <row r="18" spans="1:16" s="9" customFormat="1" ht="18.75" x14ac:dyDescent="0.3">
      <c r="B18" s="26" t="s">
        <v>35</v>
      </c>
      <c r="E18" s="69"/>
      <c r="L18" s="56"/>
      <c r="N18" s="69"/>
    </row>
    <row r="19" spans="1:16" x14ac:dyDescent="0.25">
      <c r="B19" s="1" t="s">
        <v>45</v>
      </c>
      <c r="D19" s="41"/>
      <c r="E19" s="70"/>
      <c r="F19" s="47"/>
      <c r="G19" s="47"/>
    </row>
    <row r="20" spans="1:16" x14ac:dyDescent="0.25">
      <c r="A20" s="12"/>
      <c r="B20" s="13" t="s">
        <v>30</v>
      </c>
      <c r="C20" s="14"/>
      <c r="D20" s="40" t="s">
        <v>46</v>
      </c>
      <c r="E20" s="71" t="s">
        <v>53</v>
      </c>
      <c r="F20" s="34" t="s">
        <v>27</v>
      </c>
      <c r="G20" s="42" t="s">
        <v>19</v>
      </c>
      <c r="J20" s="33" t="s">
        <v>51</v>
      </c>
      <c r="K20" s="13" t="s">
        <v>37</v>
      </c>
      <c r="L20" s="60"/>
      <c r="M20" s="40" t="s">
        <v>31</v>
      </c>
      <c r="N20" s="74" t="s">
        <v>41</v>
      </c>
      <c r="O20" s="34" t="s">
        <v>27</v>
      </c>
      <c r="P20" s="15" t="s">
        <v>19</v>
      </c>
    </row>
    <row r="21" spans="1:16" x14ac:dyDescent="0.25">
      <c r="A21" s="16" t="s">
        <v>23</v>
      </c>
      <c r="B21" s="34" t="s">
        <v>28</v>
      </c>
      <c r="C21" s="38">
        <v>550</v>
      </c>
      <c r="D21" s="104">
        <f>SUM(C21*12)</f>
        <v>6600</v>
      </c>
      <c r="E21" s="73">
        <f>(D21*0.4)</f>
        <v>2640</v>
      </c>
      <c r="F21" s="19">
        <f>D21-E21</f>
        <v>3960</v>
      </c>
      <c r="G21" s="49">
        <f>F21/J17</f>
        <v>9.6585365853658539E-2</v>
      </c>
      <c r="J21" s="30"/>
      <c r="K21" s="34"/>
      <c r="L21" s="61"/>
      <c r="M21" s="18"/>
      <c r="N21" s="72"/>
      <c r="O21" s="19"/>
      <c r="P21" s="49"/>
    </row>
    <row r="22" spans="1:16" x14ac:dyDescent="0.25">
      <c r="A22" s="20" t="s">
        <v>15</v>
      </c>
      <c r="B22" s="34"/>
      <c r="C22" s="21"/>
      <c r="D22" s="18"/>
      <c r="E22" s="73"/>
      <c r="F22" s="19"/>
      <c r="G22" s="94"/>
      <c r="J22" s="31" t="s">
        <v>23</v>
      </c>
      <c r="K22" s="34"/>
      <c r="L22" s="58">
        <v>600</v>
      </c>
      <c r="M22" s="18">
        <f>SUM(L22*6)</f>
        <v>3600</v>
      </c>
      <c r="N22" s="72">
        <f>(M22*0.35)</f>
        <v>1260</v>
      </c>
      <c r="O22" s="19">
        <f>M22-N22</f>
        <v>2340</v>
      </c>
      <c r="P22" s="49">
        <f>O22/J17</f>
        <v>5.7073170731707319E-2</v>
      </c>
    </row>
    <row r="23" spans="1:16" x14ac:dyDescent="0.25">
      <c r="A23" s="20" t="s">
        <v>16</v>
      </c>
      <c r="B23" s="34" t="s">
        <v>24</v>
      </c>
      <c r="C23" s="38">
        <f>50*15</f>
        <v>750</v>
      </c>
      <c r="D23" s="18">
        <f>SUM(C23*12)</f>
        <v>9000</v>
      </c>
      <c r="E23" s="73">
        <f t="shared" ref="E23:E27" si="0">(D23*0.4)</f>
        <v>3600</v>
      </c>
      <c r="F23" s="19">
        <f t="shared" ref="F23:F39" si="1">D23-E23</f>
        <v>5400</v>
      </c>
      <c r="G23" s="95">
        <f>F23/J17</f>
        <v>0.13170731707317074</v>
      </c>
      <c r="J23" s="31" t="s">
        <v>48</v>
      </c>
      <c r="K23" s="39"/>
      <c r="L23" s="61"/>
      <c r="M23" s="21"/>
      <c r="N23" s="72"/>
      <c r="O23" s="34"/>
      <c r="P23" s="63"/>
    </row>
    <row r="24" spans="1:16" x14ac:dyDescent="0.25">
      <c r="A24" s="22" t="s">
        <v>15</v>
      </c>
      <c r="B24" s="34"/>
      <c r="C24" s="21"/>
      <c r="D24" s="18"/>
      <c r="E24" s="73"/>
      <c r="F24" s="19"/>
      <c r="G24" s="96"/>
      <c r="J24" s="32"/>
      <c r="K24" s="34"/>
      <c r="L24" s="57"/>
      <c r="M24" s="18"/>
      <c r="N24" s="72"/>
      <c r="O24" s="19"/>
      <c r="P24" s="49"/>
    </row>
    <row r="25" spans="1:16" x14ac:dyDescent="0.25">
      <c r="A25" s="22" t="s">
        <v>17</v>
      </c>
      <c r="B25" s="34" t="s">
        <v>25</v>
      </c>
      <c r="C25" s="38">
        <f>50*19.5</f>
        <v>975</v>
      </c>
      <c r="D25" s="18">
        <f>SUM(C25*12)</f>
        <v>11700</v>
      </c>
      <c r="E25" s="73">
        <f t="shared" si="0"/>
        <v>4680</v>
      </c>
      <c r="F25" s="19">
        <f t="shared" si="1"/>
        <v>7020</v>
      </c>
      <c r="G25" s="97">
        <f>F25/J17</f>
        <v>0.17121951219512196</v>
      </c>
      <c r="J25" s="22" t="s">
        <v>47</v>
      </c>
      <c r="K25" s="34" t="s">
        <v>36</v>
      </c>
      <c r="L25" s="61"/>
      <c r="M25" s="18"/>
      <c r="N25" s="72"/>
      <c r="O25" s="19"/>
      <c r="P25" s="49"/>
    </row>
    <row r="26" spans="1:16" x14ac:dyDescent="0.25">
      <c r="A26" s="23" t="s">
        <v>15</v>
      </c>
      <c r="B26" s="34"/>
      <c r="C26" s="21"/>
      <c r="D26" s="18"/>
      <c r="E26" s="73"/>
      <c r="F26" s="19"/>
      <c r="G26" s="98"/>
      <c r="J26" s="22" t="s">
        <v>17</v>
      </c>
      <c r="K26" s="34" t="s">
        <v>43</v>
      </c>
      <c r="L26" s="57"/>
      <c r="M26" s="21">
        <f>50*118</f>
        <v>5900</v>
      </c>
      <c r="N26" s="72">
        <f t="shared" ref="N26" si="2">(M26*0.35)</f>
        <v>2065</v>
      </c>
      <c r="O26" s="19">
        <f t="shared" ref="O26" si="3">M26-N26</f>
        <v>3835</v>
      </c>
      <c r="P26" s="49">
        <f>O26/J17</f>
        <v>9.3536585365853658E-2</v>
      </c>
    </row>
    <row r="27" spans="1:16" x14ac:dyDescent="0.25">
      <c r="A27" s="23" t="s">
        <v>18</v>
      </c>
      <c r="B27" s="34" t="s">
        <v>26</v>
      </c>
      <c r="C27" s="38">
        <f>50*24</f>
        <v>1200</v>
      </c>
      <c r="D27" s="18">
        <f>SUM(C27*12)</f>
        <v>14400</v>
      </c>
      <c r="E27" s="73">
        <f t="shared" si="0"/>
        <v>5760</v>
      </c>
      <c r="F27" s="19">
        <f t="shared" si="1"/>
        <v>8640</v>
      </c>
      <c r="G27" s="64">
        <f>F27/J17</f>
        <v>0.21073170731707316</v>
      </c>
      <c r="J27" s="35" t="s">
        <v>38</v>
      </c>
      <c r="K27" s="35"/>
      <c r="L27" s="62"/>
      <c r="M27" s="36">
        <f>SUM(M22:M26)</f>
        <v>9500</v>
      </c>
      <c r="N27" s="79">
        <f>SUM(N22:N26)</f>
        <v>3325</v>
      </c>
      <c r="O27" s="37">
        <f>SUM(O22:O26)</f>
        <v>6175</v>
      </c>
      <c r="P27" s="64">
        <f>SUM(P22:P26)</f>
        <v>0.15060975609756097</v>
      </c>
    </row>
    <row r="28" spans="1:16" x14ac:dyDescent="0.25">
      <c r="A28" s="84"/>
      <c r="B28" s="84"/>
      <c r="C28" s="85"/>
      <c r="D28" s="81"/>
      <c r="E28" s="82"/>
      <c r="F28" s="83"/>
      <c r="G28" s="80"/>
      <c r="J28" s="84"/>
      <c r="K28" s="84"/>
      <c r="L28" s="90"/>
      <c r="M28" s="81"/>
      <c r="N28" s="82"/>
      <c r="O28" s="83"/>
      <c r="P28" s="80"/>
    </row>
    <row r="29" spans="1:16" x14ac:dyDescent="0.25">
      <c r="A29" s="14"/>
      <c r="B29" s="13" t="s">
        <v>29</v>
      </c>
      <c r="C29" s="13"/>
      <c r="D29" s="40" t="s">
        <v>46</v>
      </c>
      <c r="E29" s="72" t="s">
        <v>41</v>
      </c>
      <c r="F29" s="19" t="s">
        <v>27</v>
      </c>
      <c r="G29" s="15" t="s">
        <v>19</v>
      </c>
      <c r="J29" s="33" t="s">
        <v>51</v>
      </c>
      <c r="K29" s="13" t="s">
        <v>39</v>
      </c>
      <c r="L29" s="60"/>
      <c r="M29" s="40" t="s">
        <v>31</v>
      </c>
      <c r="N29" s="72" t="s">
        <v>41</v>
      </c>
      <c r="O29" s="34" t="s">
        <v>27</v>
      </c>
      <c r="P29" s="15" t="s">
        <v>19</v>
      </c>
    </row>
    <row r="30" spans="1:16" x14ac:dyDescent="0.25">
      <c r="A30" s="25" t="s">
        <v>23</v>
      </c>
      <c r="B30" s="89" t="s">
        <v>28</v>
      </c>
      <c r="C30" s="86">
        <v>600</v>
      </c>
      <c r="D30" s="18">
        <f t="shared" ref="D30" si="4">SUM(C30*12)</f>
        <v>7200</v>
      </c>
      <c r="E30" s="72">
        <f>(D30*0.35)</f>
        <v>2520</v>
      </c>
      <c r="F30" s="19">
        <f t="shared" si="1"/>
        <v>4680</v>
      </c>
      <c r="G30" s="49">
        <f>F30/J17</f>
        <v>0.11414634146341464</v>
      </c>
      <c r="J30" s="30"/>
      <c r="K30" s="34"/>
      <c r="L30" s="61"/>
      <c r="M30" s="18"/>
      <c r="N30" s="72"/>
      <c r="O30" s="19"/>
      <c r="P30" s="49"/>
    </row>
    <row r="31" spans="1:16" x14ac:dyDescent="0.25">
      <c r="A31" s="24" t="s">
        <v>20</v>
      </c>
      <c r="B31" s="34"/>
      <c r="C31" s="21"/>
      <c r="D31" s="18"/>
      <c r="E31" s="72"/>
      <c r="F31" s="19"/>
      <c r="G31" s="49"/>
      <c r="J31" s="31" t="s">
        <v>49</v>
      </c>
      <c r="K31" s="34"/>
      <c r="L31" s="57"/>
      <c r="M31" s="18"/>
      <c r="N31" s="72"/>
      <c r="O31" s="19"/>
      <c r="P31" s="48"/>
    </row>
    <row r="32" spans="1:16" x14ac:dyDescent="0.25">
      <c r="A32" s="24" t="s">
        <v>16</v>
      </c>
      <c r="B32" s="34" t="s">
        <v>24</v>
      </c>
      <c r="C32" s="17">
        <f>75*15</f>
        <v>1125</v>
      </c>
      <c r="D32" s="18">
        <f t="shared" ref="D32:D39" si="5">SUM(C32*12)</f>
        <v>13500</v>
      </c>
      <c r="E32" s="72">
        <f t="shared" ref="E32:E36" si="6">(D32*0.35)</f>
        <v>4725</v>
      </c>
      <c r="F32" s="19">
        <f t="shared" si="1"/>
        <v>8775</v>
      </c>
      <c r="G32" s="64">
        <f>F32/J17</f>
        <v>0.21402439024390243</v>
      </c>
      <c r="J32" s="25" t="s">
        <v>48</v>
      </c>
      <c r="K32" s="39"/>
      <c r="L32" s="58">
        <v>500</v>
      </c>
      <c r="M32" s="18">
        <f>SUM(L32*6)</f>
        <v>3000</v>
      </c>
      <c r="N32" s="72">
        <f>(M32*0.35)</f>
        <v>1050</v>
      </c>
      <c r="O32" s="19">
        <f t="shared" ref="O32" si="7">M32-N32</f>
        <v>1950</v>
      </c>
      <c r="P32" s="49">
        <f>O32/J17</f>
        <v>4.7560975609756098E-2</v>
      </c>
    </row>
    <row r="33" spans="1:16" x14ac:dyDescent="0.25">
      <c r="A33" s="22" t="s">
        <v>21</v>
      </c>
      <c r="B33" s="34"/>
      <c r="C33" s="21"/>
      <c r="D33" s="18"/>
      <c r="E33" s="72"/>
      <c r="F33" s="19"/>
      <c r="G33" s="64"/>
      <c r="J33" s="32"/>
      <c r="K33" s="34"/>
      <c r="L33" s="57"/>
      <c r="M33" s="18"/>
      <c r="N33" s="72"/>
      <c r="O33" s="19"/>
      <c r="P33" s="49"/>
    </row>
    <row r="34" spans="1:16" x14ac:dyDescent="0.25">
      <c r="A34" s="22" t="s">
        <v>17</v>
      </c>
      <c r="B34" s="34" t="s">
        <v>25</v>
      </c>
      <c r="C34" s="17">
        <f>75*19.5</f>
        <v>1462.5</v>
      </c>
      <c r="D34" s="18">
        <f t="shared" si="5"/>
        <v>17550</v>
      </c>
      <c r="E34" s="72">
        <f t="shared" si="6"/>
        <v>6142.5</v>
      </c>
      <c r="F34" s="19">
        <f t="shared" si="1"/>
        <v>11407.5</v>
      </c>
      <c r="G34" s="64">
        <f>F34/J17</f>
        <v>0.2782317073170732</v>
      </c>
      <c r="H34" t="s">
        <v>42</v>
      </c>
      <c r="J34" s="22" t="s">
        <v>50</v>
      </c>
      <c r="K34" s="34" t="s">
        <v>36</v>
      </c>
      <c r="L34" s="61"/>
      <c r="M34" s="18"/>
      <c r="N34" s="72"/>
      <c r="O34" s="19"/>
      <c r="P34" s="49"/>
    </row>
    <row r="35" spans="1:16" x14ac:dyDescent="0.25">
      <c r="A35" s="23" t="s">
        <v>22</v>
      </c>
      <c r="B35" s="34"/>
      <c r="C35" s="17"/>
      <c r="D35" s="18"/>
      <c r="E35" s="72"/>
      <c r="F35" s="19"/>
      <c r="G35" s="64"/>
      <c r="J35" s="22" t="s">
        <v>17</v>
      </c>
      <c r="K35" s="34" t="s">
        <v>43</v>
      </c>
      <c r="L35" s="57"/>
      <c r="M35" s="21">
        <f>75*118</f>
        <v>8850</v>
      </c>
      <c r="N35" s="72">
        <f t="shared" ref="N35" si="8">(M35*0.35)</f>
        <v>3097.5</v>
      </c>
      <c r="O35" s="19">
        <f t="shared" ref="O35" si="9">M35-N35</f>
        <v>5752.5</v>
      </c>
      <c r="P35" s="49">
        <f>O35/J17</f>
        <v>0.1403048780487805</v>
      </c>
    </row>
    <row r="36" spans="1:16" x14ac:dyDescent="0.25">
      <c r="A36" s="23" t="s">
        <v>18</v>
      </c>
      <c r="B36" s="34" t="s">
        <v>26</v>
      </c>
      <c r="C36" s="17">
        <f>75*24</f>
        <v>1800</v>
      </c>
      <c r="D36" s="18">
        <f t="shared" si="5"/>
        <v>21600</v>
      </c>
      <c r="E36" s="72">
        <f t="shared" si="6"/>
        <v>7559.9999999999991</v>
      </c>
      <c r="F36" s="19">
        <f t="shared" si="1"/>
        <v>14040</v>
      </c>
      <c r="G36" s="64">
        <f>F36/J17</f>
        <v>0.34243902439024393</v>
      </c>
      <c r="J36" s="35" t="s">
        <v>38</v>
      </c>
      <c r="K36" s="35"/>
      <c r="L36" s="62"/>
      <c r="M36" s="36">
        <f>SUM(M31:M35)</f>
        <v>11850</v>
      </c>
      <c r="N36" s="79">
        <f>SUM(N31:N35)</f>
        <v>4147.5</v>
      </c>
      <c r="O36" s="37">
        <f>SUM(O32:O35)</f>
        <v>7702.5</v>
      </c>
      <c r="P36" s="64">
        <f>SUM(P32:P35)</f>
        <v>0.18786585365853659</v>
      </c>
    </row>
    <row r="37" spans="1:16" x14ac:dyDescent="0.25">
      <c r="A37" s="4"/>
      <c r="B37" s="51"/>
      <c r="C37" s="4"/>
      <c r="D37" s="81"/>
      <c r="E37" s="82"/>
      <c r="F37" s="83"/>
      <c r="G37" s="80"/>
    </row>
    <row r="38" spans="1:16" x14ac:dyDescent="0.25">
      <c r="A38" s="14"/>
      <c r="B38" s="13" t="s">
        <v>34</v>
      </c>
      <c r="C38" s="13"/>
      <c r="D38" s="40" t="s">
        <v>46</v>
      </c>
      <c r="E38" s="74" t="s">
        <v>52</v>
      </c>
      <c r="F38" s="19" t="s">
        <v>27</v>
      </c>
      <c r="G38" s="15" t="s">
        <v>19</v>
      </c>
      <c r="J38" s="33" t="s">
        <v>51</v>
      </c>
      <c r="K38" s="13" t="s">
        <v>40</v>
      </c>
      <c r="L38" s="60"/>
      <c r="M38" s="15" t="s">
        <v>31</v>
      </c>
      <c r="N38" s="74" t="s">
        <v>44</v>
      </c>
      <c r="O38" s="34" t="s">
        <v>27</v>
      </c>
      <c r="P38" s="15" t="s">
        <v>19</v>
      </c>
    </row>
    <row r="39" spans="1:16" x14ac:dyDescent="0.25">
      <c r="A39" s="25" t="s">
        <v>23</v>
      </c>
      <c r="B39" s="89" t="s">
        <v>28</v>
      </c>
      <c r="C39" s="19">
        <v>650</v>
      </c>
      <c r="D39" s="18">
        <f t="shared" si="5"/>
        <v>7800</v>
      </c>
      <c r="E39" s="72">
        <f>D39*0.3</f>
        <v>2340</v>
      </c>
      <c r="F39" s="19">
        <f t="shared" si="1"/>
        <v>5460</v>
      </c>
      <c r="G39" s="49">
        <f>F39/J17</f>
        <v>0.13317073170731708</v>
      </c>
      <c r="J39" s="30"/>
      <c r="K39" s="34"/>
      <c r="L39" s="61"/>
      <c r="M39" s="18"/>
      <c r="N39" s="72"/>
      <c r="O39" s="19"/>
      <c r="P39" s="49"/>
    </row>
    <row r="40" spans="1:16" x14ac:dyDescent="0.25">
      <c r="A40" s="24" t="s">
        <v>32</v>
      </c>
      <c r="B40" s="34"/>
      <c r="C40" s="21"/>
      <c r="D40" s="18"/>
      <c r="E40" s="72"/>
      <c r="F40" s="19"/>
      <c r="G40" s="49"/>
      <c r="J40" s="31" t="s">
        <v>23</v>
      </c>
      <c r="K40" s="52"/>
      <c r="L40" s="59"/>
      <c r="M40" s="18"/>
      <c r="N40" s="72"/>
      <c r="O40" s="19"/>
      <c r="P40" s="48"/>
    </row>
    <row r="41" spans="1:16" x14ac:dyDescent="0.25">
      <c r="A41" s="24" t="s">
        <v>16</v>
      </c>
      <c r="B41" s="34" t="s">
        <v>24</v>
      </c>
      <c r="C41" s="17">
        <f>100*15</f>
        <v>1500</v>
      </c>
      <c r="D41" s="18">
        <f t="shared" ref="D41:D45" si="10">SUM(C41*12)</f>
        <v>18000</v>
      </c>
      <c r="E41" s="72">
        <f t="shared" ref="E41:E45" si="11">(D41*0.3)</f>
        <v>5400</v>
      </c>
      <c r="F41" s="19">
        <f t="shared" ref="F41" si="12">D41-E41</f>
        <v>12600</v>
      </c>
      <c r="G41" s="64">
        <f>F41/J17</f>
        <v>0.3073170731707317</v>
      </c>
      <c r="J41" s="25" t="s">
        <v>48</v>
      </c>
      <c r="K41" s="39"/>
      <c r="L41" s="58">
        <v>500</v>
      </c>
      <c r="M41" s="18">
        <f>SUM(L41*6)</f>
        <v>3000</v>
      </c>
      <c r="N41" s="72">
        <f>(M41*0.35)</f>
        <v>1050</v>
      </c>
      <c r="O41" s="19">
        <f t="shared" ref="O41" si="13">M41-N41</f>
        <v>1950</v>
      </c>
      <c r="P41" s="49">
        <f>O41/J17</f>
        <v>4.7560975609756098E-2</v>
      </c>
    </row>
    <row r="42" spans="1:16" x14ac:dyDescent="0.25">
      <c r="A42" s="22" t="s">
        <v>32</v>
      </c>
      <c r="B42" s="34"/>
      <c r="C42" s="21"/>
      <c r="D42" s="18"/>
      <c r="E42" s="72"/>
      <c r="F42" s="19"/>
      <c r="G42" s="64"/>
      <c r="J42" s="32"/>
      <c r="K42" s="34"/>
      <c r="L42" s="57"/>
      <c r="M42" s="18"/>
      <c r="N42" s="72"/>
      <c r="O42" s="19"/>
      <c r="P42" s="49"/>
    </row>
    <row r="43" spans="1:16" x14ac:dyDescent="0.25">
      <c r="A43" s="22" t="s">
        <v>17</v>
      </c>
      <c r="B43" s="34" t="s">
        <v>25</v>
      </c>
      <c r="C43" s="17">
        <f>100*19.5</f>
        <v>1950</v>
      </c>
      <c r="D43" s="18">
        <f t="shared" si="10"/>
        <v>23400</v>
      </c>
      <c r="E43" s="72">
        <f t="shared" si="11"/>
        <v>7020</v>
      </c>
      <c r="F43" s="19">
        <f t="shared" ref="F43" si="14">D43-E43</f>
        <v>16380</v>
      </c>
      <c r="G43" s="64">
        <f>F43/J17</f>
        <v>0.39951219512195124</v>
      </c>
      <c r="J43" s="22" t="s">
        <v>50</v>
      </c>
      <c r="K43" s="34" t="s">
        <v>36</v>
      </c>
      <c r="L43" s="61"/>
      <c r="M43" s="18"/>
      <c r="N43" s="72"/>
      <c r="O43" s="19"/>
      <c r="P43" s="49"/>
    </row>
    <row r="44" spans="1:16" x14ac:dyDescent="0.25">
      <c r="A44" s="23" t="s">
        <v>33</v>
      </c>
      <c r="B44" s="34"/>
      <c r="C44" s="17"/>
      <c r="D44" s="18"/>
      <c r="E44" s="72"/>
      <c r="F44" s="19"/>
      <c r="G44" s="64"/>
      <c r="J44" s="22" t="s">
        <v>17</v>
      </c>
      <c r="K44" s="34" t="s">
        <v>43</v>
      </c>
      <c r="L44" s="57"/>
      <c r="M44" s="21">
        <f>100*118</f>
        <v>11800</v>
      </c>
      <c r="N44" s="72">
        <f t="shared" ref="N44" si="15">(M44*0.35)</f>
        <v>4130</v>
      </c>
      <c r="O44" s="19">
        <f t="shared" ref="O44" si="16">M44-N44</f>
        <v>7670</v>
      </c>
      <c r="P44" s="49">
        <f>O44/J17</f>
        <v>0.18707317073170732</v>
      </c>
    </row>
    <row r="45" spans="1:16" x14ac:dyDescent="0.25">
      <c r="A45" s="23" t="s">
        <v>18</v>
      </c>
      <c r="B45" s="34" t="s">
        <v>26</v>
      </c>
      <c r="C45" s="17">
        <f>100*24</f>
        <v>2400</v>
      </c>
      <c r="D45" s="18">
        <f t="shared" si="10"/>
        <v>28800</v>
      </c>
      <c r="E45" s="72">
        <f t="shared" si="11"/>
        <v>8640</v>
      </c>
      <c r="F45" s="19">
        <f t="shared" ref="F45" si="17">D45-E45</f>
        <v>20160</v>
      </c>
      <c r="G45" s="64">
        <f>F45/J17</f>
        <v>0.49170731707317072</v>
      </c>
      <c r="J45" s="35" t="s">
        <v>38</v>
      </c>
      <c r="K45" s="35"/>
      <c r="L45" s="62"/>
      <c r="M45" s="36">
        <f>SUM(M40:M44)</f>
        <v>14800</v>
      </c>
      <c r="N45" s="79">
        <f>SUM(N40:N44)</f>
        <v>5180</v>
      </c>
      <c r="O45" s="37">
        <f>SUM(O41:O44)</f>
        <v>9620</v>
      </c>
      <c r="P45" s="64">
        <f>SUM(P41:P44)</f>
        <v>0.2346341463414634</v>
      </c>
    </row>
    <row r="46" spans="1:16" x14ac:dyDescent="0.25">
      <c r="A46" s="4"/>
      <c r="B46" s="51"/>
      <c r="C46" s="4"/>
      <c r="D46" s="4"/>
      <c r="E46" s="68"/>
      <c r="F46" s="51"/>
      <c r="G46" s="51"/>
    </row>
    <row r="47" spans="1:16" x14ac:dyDescent="0.25">
      <c r="A47" s="4"/>
      <c r="B47" s="51"/>
      <c r="C47" s="4"/>
      <c r="D47" s="4"/>
      <c r="E47" s="68"/>
      <c r="F47" s="51"/>
      <c r="G47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o2-PERFORMANCE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2022-11-04T22:01:16Z</dcterms:created>
  <dcterms:modified xsi:type="dcterms:W3CDTF">2022-11-28T20:00:40Z</dcterms:modified>
</cp:coreProperties>
</file>